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formation Technology - Applications\RMS\Requirements\Returns\MCT &amp; Loss Relief\"/>
    </mc:Choice>
  </mc:AlternateContent>
  <bookViews>
    <workbookView xWindow="0" yWindow="465" windowWidth="33600" windowHeight="19395"/>
  </bookViews>
  <sheets>
    <sheet name="Abbreviated CT Return" sheetId="1" r:id="rId1"/>
    <sheet name="Loss Schedules" sheetId="2" r:id="rId2"/>
    <sheet name="MCT Schedule" sheetId="3" r:id="rId3"/>
    <sheet name="Rate Sheet" sheetId="4" r:id="rId4"/>
  </sheets>
  <definedNames>
    <definedName name="RateRange">'Rate Sheet'!$A$2:$F$46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D18" i="1" l="1"/>
  <c r="C18" i="1"/>
  <c r="D7" i="2"/>
  <c r="C7" i="2"/>
  <c r="T2" i="2" s="1"/>
  <c r="T6" i="2" l="1"/>
  <c r="T5" i="2"/>
  <c r="T4" i="2"/>
  <c r="T3" i="2"/>
  <c r="F4" i="2" l="1"/>
  <c r="F17" i="2"/>
  <c r="E17" i="2"/>
  <c r="C17" i="2"/>
  <c r="G11" i="2"/>
  <c r="L3" i="2" s="1"/>
  <c r="G12" i="2"/>
  <c r="L4" i="2" s="1"/>
  <c r="G13" i="2"/>
  <c r="L5" i="2" s="1"/>
  <c r="G14" i="2"/>
  <c r="L6" i="2" s="1"/>
  <c r="G10" i="2"/>
  <c r="L2" i="2" s="1"/>
  <c r="D16" i="2"/>
  <c r="E16" i="2"/>
  <c r="F16" i="2"/>
  <c r="C16" i="2"/>
  <c r="F18" i="2" l="1"/>
  <c r="C18" i="2"/>
  <c r="E18" i="2"/>
  <c r="G16" i="2"/>
  <c r="F3" i="2" l="1"/>
  <c r="F6" i="2"/>
  <c r="F2" i="2"/>
  <c r="F7" i="2" s="1"/>
  <c r="F15" i="1"/>
  <c r="B2" i="3" s="1"/>
  <c r="C9" i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C16" i="1" l="1"/>
  <c r="C4" i="1" s="1"/>
  <c r="D16" i="1"/>
  <c r="C19" i="1" l="1"/>
  <c r="D19" i="1"/>
  <c r="K4" i="2" s="1"/>
  <c r="A2" i="4"/>
  <c r="Q4" i="2" l="1"/>
  <c r="R4" i="2" s="1"/>
  <c r="M4" i="2"/>
  <c r="N4" i="2" s="1"/>
  <c r="K5" i="2"/>
  <c r="K3" i="2"/>
  <c r="Q3" i="2" s="1"/>
  <c r="K2" i="2"/>
  <c r="K6" i="2"/>
  <c r="D20" i="1"/>
  <c r="C20" i="1"/>
  <c r="Q5" i="2" l="1"/>
  <c r="R5" i="2" s="1"/>
  <c r="Q6" i="2"/>
  <c r="R6" i="2" s="1"/>
  <c r="Q2" i="2"/>
  <c r="R2" i="2" s="1"/>
  <c r="O4" i="2"/>
  <c r="P4" i="2" s="1"/>
  <c r="S4" i="2"/>
  <c r="R3" i="2"/>
  <c r="M3" i="2"/>
  <c r="N3" i="2" s="1"/>
  <c r="M6" i="2"/>
  <c r="N6" i="2" s="1"/>
  <c r="M5" i="2"/>
  <c r="N5" i="2" s="1"/>
  <c r="M2" i="2"/>
  <c r="F21" i="1"/>
  <c r="F25" i="1"/>
  <c r="Q7" i="2" l="1"/>
  <c r="O6" i="2"/>
  <c r="P6" i="2" s="1"/>
  <c r="G6" i="2" s="1"/>
  <c r="H6" i="2" s="1"/>
  <c r="S6" i="2"/>
  <c r="O5" i="2"/>
  <c r="P5" i="2" s="1"/>
  <c r="S5" i="2"/>
  <c r="O3" i="2"/>
  <c r="P3" i="2" s="1"/>
  <c r="G3" i="2" s="1"/>
  <c r="I3" i="2" s="1"/>
  <c r="S3" i="2"/>
  <c r="N2" i="2"/>
  <c r="M7" i="2"/>
  <c r="R7" i="2"/>
  <c r="F28" i="1"/>
  <c r="D17" i="2"/>
  <c r="D18" i="2" s="1"/>
  <c r="G18" i="2" s="1"/>
  <c r="G4" i="2"/>
  <c r="I4" i="2" s="1"/>
  <c r="I6" i="2" l="1"/>
  <c r="H31" i="1"/>
  <c r="H3" i="2"/>
  <c r="O2" i="2"/>
  <c r="S2" i="2"/>
  <c r="S7" i="2" s="1"/>
  <c r="N7" i="2"/>
  <c r="C7" i="1"/>
  <c r="H4" i="2"/>
  <c r="P2" i="2" l="1"/>
  <c r="O7" i="2"/>
  <c r="G2" i="2" l="1"/>
  <c r="P7" i="2"/>
  <c r="I2" i="2" l="1"/>
  <c r="H2" i="2"/>
  <c r="I7" i="2" l="1"/>
  <c r="F22" i="1" s="1"/>
  <c r="C10" i="1"/>
  <c r="F29" i="1" l="1"/>
  <c r="A2" i="3"/>
  <c r="F32" i="1" l="1"/>
  <c r="F2" i="3" s="1"/>
  <c r="D2" i="3"/>
  <c r="E2" i="3" l="1"/>
  <c r="C8" i="1"/>
  <c r="G2" i="3" l="1"/>
  <c r="F30" i="1"/>
  <c r="F31" i="1" l="1"/>
  <c r="F33" i="1" s="1"/>
  <c r="C6" i="1" s="1"/>
</calcChain>
</file>

<file path=xl/comments1.xml><?xml version="1.0" encoding="utf-8"?>
<comments xmlns="http://schemas.openxmlformats.org/spreadsheetml/2006/main">
  <authors>
    <author>Microsoft Office User</author>
    <author>Sese Jones</author>
    <author>Marcia Searwar</author>
  </authors>
  <commentList>
    <comment ref="E5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Generated key to lookup Commercial Rate for the given year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E6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Generated key to lookup Non-Commercial Rate for the given year</t>
        </r>
      </text>
    </comment>
    <comment ref="C10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If a company is </t>
        </r>
        <r>
          <rPr>
            <b/>
            <sz val="10"/>
            <color rgb="FF000000"/>
            <rFont val="Calibri"/>
            <family val="2"/>
            <scheme val="minor"/>
          </rPr>
          <t>not</t>
        </r>
        <r>
          <rPr>
            <sz val="10"/>
            <color rgb="FF000000"/>
            <rFont val="Calibri"/>
            <family val="2"/>
            <scheme val="minor"/>
          </rPr>
          <t xml:space="preserve"> exempt from MCT and is considered Commercial , the Tax on 'Chargeable Profits' less 'Credits before MCT' and 'Loss Relief' is compared to 2% on turnover. If the 2% on turnover is greater, the basis of payment is MCT otherwise Chargeable Profits</t>
        </r>
        <r>
          <rPr>
            <sz val="10"/>
            <color rgb="FF000000"/>
            <rFont val="Tahoma"/>
            <family val="2"/>
          </rPr>
          <t>.
If the company is MCT Exempt, the basis of payment is  Chargeable Profits
If the company is considered Non-Commercial, the basis of payment is Chargeable Profits</t>
        </r>
      </text>
    </comment>
    <comment ref="B12" authorId="1" shapeId="0">
      <text>
        <r>
          <rPr>
            <b/>
            <sz val="9"/>
            <color rgb="FF000000"/>
            <rFont val="Tahoma"/>
            <family val="2"/>
          </rPr>
          <t>Sese Jones: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Any Insurance company or company exempt from corportation tax, is not required to pay MCT (Section 10 A (3) Corporation Tax Act 81:03).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In addition, Section 7 of Corporation Tax Act 81:03 expempts a number of companies from the payment of corporation tax.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The answer "Yes/No" is used to drive the Basis of Payment in cell C10.</t>
        </r>
      </text>
    </comment>
    <comment ref="B13" authorId="2" shapeId="0">
      <text>
        <r>
          <rPr>
            <b/>
            <sz val="9"/>
            <color indexed="81"/>
            <rFont val="Tahoma"/>
            <family val="2"/>
          </rPr>
          <t>Marcia Searwar:</t>
        </r>
        <r>
          <rPr>
            <sz val="9"/>
            <color indexed="81"/>
            <rFont val="Tahoma"/>
            <family val="2"/>
          </rPr>
          <t xml:space="preserve">
Companies engaged in Gold &amp; Diamond Mining and Petroleum operations are allowed to claim losses without limitation (Income Tax Act 33 and 33A respectively.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Sese Jones:</t>
        </r>
        <r>
          <rPr>
            <sz val="9"/>
            <color indexed="81"/>
            <rFont val="Tahoma"/>
            <family val="2"/>
          </rPr>
          <t xml:space="preserve">
The Tax on Adjusted Chargeable Profit is arrived at by deducting 'Credits before MCT' and 'Tax relief for Losses'.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</rPr>
          <t>Sese Jones:</t>
        </r>
        <r>
          <rPr>
            <sz val="9"/>
            <color indexed="81"/>
            <rFont val="Tahoma"/>
            <family val="2"/>
          </rPr>
          <t xml:space="preserve">
Validation: Company Type must be NC and Turnover ratio must be = or &gt; 0.75</t>
        </r>
      </text>
    </comment>
    <comment ref="F24" authorId="1" shapeId="0">
      <text>
        <r>
          <rPr>
            <b/>
            <sz val="9"/>
            <color rgb="FF000000"/>
            <rFont val="Tahoma"/>
            <family val="2"/>
          </rPr>
          <t>Sese Jones: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To be eligible, at least 75% of turnover must be from tourism activities.</t>
        </r>
      </text>
    </comment>
    <comment ref="F25" authorId="1" shapeId="0">
      <text>
        <r>
          <rPr>
            <b/>
            <sz val="9"/>
            <color indexed="81"/>
            <rFont val="Tahoma"/>
            <family val="2"/>
          </rPr>
          <t>Sese Jones:</t>
        </r>
        <r>
          <rPr>
            <sz val="9"/>
            <color indexed="81"/>
            <rFont val="Tahoma"/>
            <family val="2"/>
          </rPr>
          <t xml:space="preserve">
Validation: Value must be 0 if Company Type is Commercial</t>
        </r>
      </text>
    </comment>
    <comment ref="F28" authorId="1" shapeId="0">
      <text>
        <r>
          <rPr>
            <b/>
            <sz val="9"/>
            <color rgb="FF000000"/>
            <rFont val="Tahoma"/>
            <family val="2"/>
          </rPr>
          <t>Sese Jones: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The credits claimed shall not reduce the tax payable to less than 0.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</authors>
  <commentList>
    <comment ref="A2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Income source A is considered </t>
        </r>
        <r>
          <rPr>
            <b/>
            <sz val="10"/>
            <color rgb="FF000000"/>
            <rFont val="Tahoma"/>
            <family val="2"/>
          </rPr>
          <t>Non-Commercial</t>
        </r>
        <r>
          <rPr>
            <sz val="10"/>
            <color rgb="FF000000"/>
            <rFont val="Tahoma"/>
            <family val="2"/>
          </rPr>
          <t xml:space="preserve"> in nature.</t>
        </r>
      </text>
    </comment>
    <comment ref="A3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Income source B is considered </t>
        </r>
        <r>
          <rPr>
            <b/>
            <sz val="10"/>
            <color rgb="FF000000"/>
            <rFont val="Calibri"/>
            <family val="2"/>
            <scheme val="minor"/>
          </rPr>
          <t>Commercial</t>
        </r>
        <r>
          <rPr>
            <sz val="10"/>
            <color rgb="FF000000"/>
            <rFont val="Calibri"/>
            <family val="2"/>
            <scheme val="minor"/>
          </rPr>
          <t xml:space="preserve"> in nature.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5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Income source C is considered </t>
        </r>
        <r>
          <rPr>
            <b/>
            <sz val="10"/>
            <color rgb="FF000000"/>
            <rFont val="Calibri"/>
            <family val="2"/>
            <scheme val="minor"/>
          </rPr>
          <t>Non-Commercia</t>
        </r>
        <r>
          <rPr>
            <sz val="10"/>
            <color rgb="FF000000"/>
            <rFont val="Calibri"/>
            <family val="2"/>
            <scheme val="minor"/>
          </rPr>
          <t>l in nature.
Source E should be the aggregate of 21-22</t>
        </r>
      </text>
    </comment>
    <comment ref="A6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Income source D is considered </t>
        </r>
        <r>
          <rPr>
            <b/>
            <sz val="10"/>
            <color rgb="FF000000"/>
            <rFont val="Calibri"/>
            <family val="2"/>
            <scheme val="minor"/>
          </rPr>
          <t>Non-Commercia</t>
        </r>
        <r>
          <rPr>
            <sz val="10"/>
            <color rgb="FF000000"/>
            <rFont val="Calibri"/>
            <family val="2"/>
            <scheme val="minor"/>
          </rPr>
          <t xml:space="preserve">l in nature.
Source D should be the aggregate of line 23-26.  </t>
        </r>
      </text>
    </comment>
    <comment ref="A10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Income source A is considered </t>
        </r>
        <r>
          <rPr>
            <b/>
            <sz val="10"/>
            <color rgb="FF000000"/>
            <rFont val="Tahoma"/>
            <family val="2"/>
          </rPr>
          <t>Non-Commercial</t>
        </r>
        <r>
          <rPr>
            <sz val="10"/>
            <color rgb="FF000000"/>
            <rFont val="Tahoma"/>
            <family val="2"/>
          </rPr>
          <t xml:space="preserve"> in nature.</t>
        </r>
      </text>
    </comment>
    <comment ref="A11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Income source B is considered </t>
        </r>
        <r>
          <rPr>
            <b/>
            <sz val="10"/>
            <color rgb="FF000000"/>
            <rFont val="Calibri"/>
            <family val="2"/>
            <scheme val="minor"/>
          </rPr>
          <t>Commercial</t>
        </r>
        <r>
          <rPr>
            <sz val="10"/>
            <color rgb="FF000000"/>
            <rFont val="Calibri"/>
            <family val="2"/>
            <scheme val="minor"/>
          </rPr>
          <t xml:space="preserve"> in nature.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13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Income source C is considered </t>
        </r>
        <r>
          <rPr>
            <b/>
            <sz val="10"/>
            <color rgb="FF000000"/>
            <rFont val="Calibri"/>
            <family val="2"/>
            <scheme val="minor"/>
          </rPr>
          <t>Non-Commercia</t>
        </r>
        <r>
          <rPr>
            <sz val="10"/>
            <color rgb="FF000000"/>
            <rFont val="Calibri"/>
            <family val="2"/>
            <scheme val="minor"/>
          </rPr>
          <t>l in nature.
Source E should be the aggregate of 21-22</t>
        </r>
      </text>
    </comment>
    <comment ref="A14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Income source D is considered </t>
        </r>
        <r>
          <rPr>
            <b/>
            <sz val="10"/>
            <color rgb="FF000000"/>
            <rFont val="Calibri"/>
            <family val="2"/>
            <scheme val="minor"/>
          </rPr>
          <t>Non-Commercia</t>
        </r>
        <r>
          <rPr>
            <sz val="10"/>
            <color rgb="FF000000"/>
            <rFont val="Calibri"/>
            <family val="2"/>
            <scheme val="minor"/>
          </rPr>
          <t>l in nature.
Source D should be the aggregate of line 23-26</t>
        </r>
      </text>
    </comment>
  </commentList>
</comments>
</file>

<file path=xl/comments3.xml><?xml version="1.0" encoding="utf-8"?>
<comments xmlns="http://schemas.openxmlformats.org/spreadsheetml/2006/main">
  <authors>
    <author>Sese Jones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Sese Jones:</t>
        </r>
        <r>
          <rPr>
            <sz val="9"/>
            <color indexed="81"/>
            <rFont val="Tahoma"/>
            <family val="2"/>
          </rPr>
          <t xml:space="preserve">
Credit created in the year of assessment.</t>
        </r>
      </text>
    </comment>
  </commentList>
</comments>
</file>

<file path=xl/sharedStrings.xml><?xml version="1.0" encoding="utf-8"?>
<sst xmlns="http://schemas.openxmlformats.org/spreadsheetml/2006/main" count="241" uniqueCount="81">
  <si>
    <t>Key</t>
  </si>
  <si>
    <t>Company Type</t>
  </si>
  <si>
    <t>Activity</t>
  </si>
  <si>
    <t>Telecoms</t>
  </si>
  <si>
    <t>Rate</t>
  </si>
  <si>
    <t>Commercial</t>
  </si>
  <si>
    <t>Non-Commercial</t>
  </si>
  <si>
    <t>Yes</t>
  </si>
  <si>
    <t>No</t>
  </si>
  <si>
    <t>Company Type:</t>
  </si>
  <si>
    <t>Taxpayer Pays:</t>
  </si>
  <si>
    <t>Credits entitled to (other than MCT):</t>
  </si>
  <si>
    <t>Can claim a maximum for MCT credit</t>
  </si>
  <si>
    <t>MCT C/F</t>
  </si>
  <si>
    <t>Payment Basis</t>
  </si>
  <si>
    <t>MCT Exempt</t>
  </si>
  <si>
    <t>Turnover</t>
  </si>
  <si>
    <t>Turnover ratio</t>
  </si>
  <si>
    <t>Chargeable Profit</t>
  </si>
  <si>
    <t>Tax Rate</t>
  </si>
  <si>
    <t>Tax on Chargeable profit</t>
  </si>
  <si>
    <t>Total Tax on Chargeable profit</t>
  </si>
  <si>
    <t>Export Credit</t>
  </si>
  <si>
    <t>Tourism credit  limit</t>
  </si>
  <si>
    <t>Tourism credit</t>
  </si>
  <si>
    <t>Double Tax relief</t>
  </si>
  <si>
    <t>Credits before MCT Credit</t>
  </si>
  <si>
    <t>Tax Relief for losses</t>
  </si>
  <si>
    <t>mct credit</t>
  </si>
  <si>
    <t>subtotal</t>
  </si>
  <si>
    <t>Tax Due</t>
  </si>
  <si>
    <t>Rate Key</t>
  </si>
  <si>
    <t>Total</t>
  </si>
  <si>
    <t>Income Source</t>
  </si>
  <si>
    <t>Loss B/F</t>
  </si>
  <si>
    <t>Loss Incurred</t>
  </si>
  <si>
    <t>Total Loss</t>
  </si>
  <si>
    <t>Loss C/F</t>
  </si>
  <si>
    <t>Tax Relief for Loss</t>
  </si>
  <si>
    <t>A</t>
  </si>
  <si>
    <t>C</t>
  </si>
  <si>
    <t>D</t>
  </si>
  <si>
    <t>NC</t>
  </si>
  <si>
    <t>2% on Turnover</t>
  </si>
  <si>
    <t>MCT Credit B/F</t>
  </si>
  <si>
    <t>MCT Credit Limit</t>
  </si>
  <si>
    <t>MCT Credit Utilised</t>
  </si>
  <si>
    <t>MCT Credit C/F</t>
  </si>
  <si>
    <t>This workbook demonstrates the calulation of MCT and Loss relief. Provide example values in the fields with green background</t>
  </si>
  <si>
    <t>Commercial 
1. YA 2001-2012 = 45%
2. YA 2013–2020 = 40%</t>
  </si>
  <si>
    <t>Non-Commercial Ordinary (including Life/Long Term Insurance)
3. YA 2001-2012 = 35%
4. YA 2013-2018 = 30%
5. YA 2019 = 27.5%
6. YA 2020 = 25%</t>
  </si>
  <si>
    <t>Telecommunications
7. YA 2009-2012 = 45%
8. YA 2013-2019 = 40%
9. YA 2020 = 45%</t>
  </si>
  <si>
    <t>Year of Assessment</t>
  </si>
  <si>
    <t>50% Tax Payable</t>
  </si>
  <si>
    <t>Chargeable Profits</t>
  </si>
  <si>
    <t>Other Tax Credits</t>
  </si>
  <si>
    <t>C/NC</t>
  </si>
  <si>
    <t>B1</t>
  </si>
  <si>
    <t>B2</t>
  </si>
  <si>
    <t>A,B2</t>
  </si>
  <si>
    <t>A,B1,B2,C,D,E</t>
  </si>
  <si>
    <t>Tourism Credit</t>
  </si>
  <si>
    <t>DT Relief</t>
  </si>
  <si>
    <t>Other Credits</t>
  </si>
  <si>
    <t>Total Credits</t>
  </si>
  <si>
    <t>Total Allocated</t>
  </si>
  <si>
    <t>Total Available</t>
  </si>
  <si>
    <t>Tax Payable</t>
  </si>
  <si>
    <t>Max Limit</t>
  </si>
  <si>
    <t>Tax Assessed</t>
  </si>
  <si>
    <t>Credit</t>
  </si>
  <si>
    <t>Year of Assessment:</t>
  </si>
  <si>
    <t>MCT Credit</t>
  </si>
  <si>
    <t>Loss Granted (limited)</t>
  </si>
  <si>
    <t>Loss Granted (unlimited)</t>
  </si>
  <si>
    <t>Tax Relief (unlimited)</t>
  </si>
  <si>
    <t>Loss Relief limted</t>
  </si>
  <si>
    <t>Percentage Distribution</t>
  </si>
  <si>
    <t>Adjusted Chargeable Profit</t>
  </si>
  <si>
    <t>Tax on Adjusted Chargeable Profit</t>
  </si>
  <si>
    <t>Net Tax Payable on Chargeable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</si>
</sst>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3" formatCode="_(* #,##0.00_);_(* \(#,##0.00\);_(* &quot;-&quot;??_);_(@_)"/>
    <numFmt numFmtId="164" formatCode="0.0%"/>
    <numFmt numFmtId="165" formatCode="_(* #,##0_);_(* \(#,##0\);_(* &quot;-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color theme="2" tint="-0.499984740745262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FF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darkUp">
        <fgColor rgb="FF80808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60">
    <xf numFmtId="0" fontId="0" fillId="0" borderId="0" xfId="0"/>
    <xf numFmtId="0" fontId="4" fillId="2" borderId="0" xfId="3"/>
    <xf numFmtId="0" fontId="2" fillId="2" borderId="0" xfId="3" applyFont="1"/>
    <xf numFmtId="9" fontId="0" fillId="0" borderId="0" xfId="2" applyFont="1"/>
    <xf numFmtId="164" fontId="0" fillId="0" borderId="0" xfId="2" applyNumberFormat="1" applyFont="1"/>
    <xf numFmtId="0" fontId="5" fillId="0" borderId="0" xfId="0" applyFont="1"/>
    <xf numFmtId="0" fontId="6" fillId="0" borderId="0" xfId="0" applyFont="1"/>
    <xf numFmtId="165" fontId="5" fillId="0" borderId="0" xfId="0" applyNumberFormat="1" applyFont="1"/>
    <xf numFmtId="165" fontId="5" fillId="0" borderId="0" xfId="1" applyNumberFormat="1" applyFont="1" applyFill="1" applyBorder="1"/>
    <xf numFmtId="43" fontId="5" fillId="0" borderId="0" xfId="1" applyFont="1" applyFill="1" applyBorder="1"/>
    <xf numFmtId="165" fontId="5" fillId="3" borderId="1" xfId="1" applyNumberFormat="1" applyFont="1" applyFill="1" applyBorder="1" applyAlignment="1">
      <alignment horizontal="left" wrapText="1"/>
    </xf>
    <xf numFmtId="0" fontId="7" fillId="0" borderId="0" xfId="0" applyFont="1"/>
    <xf numFmtId="0" fontId="8" fillId="0" borderId="0" xfId="0" applyFont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8" fillId="0" borderId="0" xfId="1" applyNumberFormat="1" applyFont="1"/>
    <xf numFmtId="0" fontId="3" fillId="0" borderId="0" xfId="0" applyFont="1"/>
    <xf numFmtId="43" fontId="0" fillId="0" borderId="0" xfId="0" applyNumberFormat="1"/>
    <xf numFmtId="0" fontId="11" fillId="0" borderId="0" xfId="0" applyFont="1"/>
    <xf numFmtId="165" fontId="5" fillId="4" borderId="0" xfId="0" applyNumberFormat="1" applyFont="1" applyFill="1"/>
    <xf numFmtId="165" fontId="5" fillId="4" borderId="0" xfId="1" applyNumberFormat="1" applyFont="1" applyFill="1" applyBorder="1"/>
    <xf numFmtId="165" fontId="0" fillId="4" borderId="0" xfId="1" applyNumberFormat="1" applyFont="1" applyFill="1"/>
    <xf numFmtId="0" fontId="0" fillId="4" borderId="0" xfId="0" applyFill="1"/>
    <xf numFmtId="9" fontId="0" fillId="5" borderId="0" xfId="2" applyFont="1" applyFill="1"/>
    <xf numFmtId="9" fontId="0" fillId="6" borderId="0" xfId="2" applyFont="1" applyFill="1"/>
    <xf numFmtId="164" fontId="0" fillId="7" borderId="0" xfId="2" applyNumberFormat="1" applyFont="1" applyFill="1"/>
    <xf numFmtId="9" fontId="0" fillId="7" borderId="0" xfId="2" applyFont="1" applyFill="1"/>
    <xf numFmtId="0" fontId="0" fillId="0" borderId="0" xfId="0" applyAlignment="1">
      <alignment wrapText="1"/>
    </xf>
    <xf numFmtId="165" fontId="5" fillId="8" borderId="0" xfId="1" applyNumberFormat="1" applyFont="1" applyFill="1" applyBorder="1"/>
    <xf numFmtId="0" fontId="5" fillId="8" borderId="0" xfId="0" applyFont="1" applyFill="1"/>
    <xf numFmtId="165" fontId="0" fillId="9" borderId="0" xfId="1" applyNumberFormat="1" applyFont="1" applyFill="1"/>
    <xf numFmtId="9" fontId="0" fillId="9" borderId="0" xfId="2" applyFont="1" applyFill="1"/>
    <xf numFmtId="0" fontId="11" fillId="0" borderId="0" xfId="0" applyFont="1" applyFill="1"/>
    <xf numFmtId="0" fontId="0" fillId="0" borderId="2" xfId="0" applyBorder="1"/>
    <xf numFmtId="165" fontId="5" fillId="3" borderId="2" xfId="1" applyNumberFormat="1" applyFont="1" applyFill="1" applyBorder="1" applyAlignment="1">
      <alignment horizontal="left" wrapText="1"/>
    </xf>
    <xf numFmtId="0" fontId="0" fillId="0" borderId="2" xfId="0" applyFill="1" applyBorder="1"/>
    <xf numFmtId="0" fontId="4" fillId="2" borderId="0" xfId="3" applyBorder="1"/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/>
    <xf numFmtId="165" fontId="0" fillId="0" borderId="2" xfId="0" applyNumberFormat="1" applyBorder="1"/>
    <xf numFmtId="0" fontId="18" fillId="2" borderId="0" xfId="3" applyFont="1"/>
    <xf numFmtId="165" fontId="5" fillId="3" borderId="0" xfId="1" applyNumberFormat="1" applyFont="1" applyFill="1" applyBorder="1" applyAlignment="1">
      <alignment horizontal="left" wrapText="1"/>
    </xf>
    <xf numFmtId="10" fontId="5" fillId="0" borderId="0" xfId="0" applyNumberFormat="1" applyFont="1"/>
    <xf numFmtId="165" fontId="0" fillId="4" borderId="4" xfId="1" applyNumberFormat="1" applyFont="1" applyFill="1" applyBorder="1"/>
    <xf numFmtId="165" fontId="0" fillId="4" borderId="6" xfId="1" applyNumberFormat="1" applyFont="1" applyFill="1" applyBorder="1"/>
    <xf numFmtId="165" fontId="0" fillId="4" borderId="5" xfId="1" applyNumberFormat="1" applyFont="1" applyFill="1" applyBorder="1"/>
    <xf numFmtId="165" fontId="0" fillId="4" borderId="7" xfId="1" applyNumberFormat="1" applyFont="1" applyFill="1" applyBorder="1"/>
    <xf numFmtId="165" fontId="0" fillId="4" borderId="8" xfId="1" applyNumberFormat="1" applyFont="1" applyFill="1" applyBorder="1"/>
    <xf numFmtId="165" fontId="0" fillId="4" borderId="9" xfId="1" applyNumberFormat="1" applyFont="1" applyFill="1" applyBorder="1"/>
    <xf numFmtId="165" fontId="0" fillId="4" borderId="0" xfId="1" applyNumberFormat="1" applyFont="1" applyFill="1" applyBorder="1"/>
    <xf numFmtId="165" fontId="0" fillId="4" borderId="10" xfId="1" applyNumberFormat="1" applyFont="1" applyFill="1" applyBorder="1"/>
    <xf numFmtId="165" fontId="0" fillId="4" borderId="11" xfId="1" applyNumberFormat="1" applyFont="1" applyFill="1" applyBorder="1"/>
    <xf numFmtId="10" fontId="0" fillId="0" borderId="0" xfId="0" applyNumberFormat="1"/>
    <xf numFmtId="164" fontId="0" fillId="6" borderId="0" xfId="2" applyNumberFormat="1" applyFont="1" applyFill="1"/>
    <xf numFmtId="6" fontId="0" fillId="0" borderId="0" xfId="0" applyNumberFormat="1"/>
    <xf numFmtId="9" fontId="0" fillId="0" borderId="0" xfId="0" applyNumberFormat="1"/>
    <xf numFmtId="9" fontId="0" fillId="0" borderId="0" xfId="2" applyNumberFormat="1" applyFont="1"/>
    <xf numFmtId="0" fontId="3" fillId="0" borderId="0" xfId="0" applyFont="1" applyFill="1" applyAlignment="1">
      <alignment horizontal="right"/>
    </xf>
    <xf numFmtId="165" fontId="0" fillId="0" borderId="8" xfId="0" applyNumberFormat="1" applyBorder="1"/>
    <xf numFmtId="0" fontId="6" fillId="4" borderId="0" xfId="0" applyFont="1" applyFill="1" applyAlignment="1">
      <alignment horizontal="center"/>
    </xf>
  </cellXfs>
  <cellStyles count="4">
    <cellStyle name="Accent1" xfId="3" builtinId="29"/>
    <cellStyle name="Comma" xfId="1" builtinId="3"/>
    <cellStyle name="Normal" xfId="0" builtinId="0"/>
    <cellStyle name="Percent" xfId="2" builtinId="5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F46" totalsRowShown="0" headerRowDxfId="1" headerRowCellStyle="Accent1">
  <autoFilter ref="A1:F46"/>
  <tableColumns count="6">
    <tableColumn id="1" name="Key">
      <calculatedColumnFormula>_xlfn.CONCAT(B2,C2,D2,E2)</calculatedColumnFormula>
    </tableColumn>
    <tableColumn id="2" name="Year of Assessment"/>
    <tableColumn id="3" name="Company Type"/>
    <tableColumn id="4" name="Activity"/>
    <tableColumn id="5" name="Telecoms"/>
    <tableColumn id="6" name="Rate" dataDxfId="0" dataCellStyle="Percent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tabSelected="1" topLeftCell="B1" zoomScale="130" zoomScaleNormal="130" workbookViewId="0">
      <selection activeCell="E6" sqref="E6"/>
    </sheetView>
  </sheetViews>
  <sheetFormatPr defaultColWidth="11" defaultRowHeight="15.75" x14ac:dyDescent="0.25"/>
  <cols>
    <col min="1" max="1" width="3.125" bestFit="1" customWidth="1"/>
    <col min="2" max="2" width="29.125" bestFit="1" customWidth="1"/>
    <col min="3" max="3" width="15.125" bestFit="1" customWidth="1"/>
    <col min="4" max="4" width="14.125" bestFit="1" customWidth="1"/>
    <col min="5" max="5" width="3.625" customWidth="1"/>
    <col min="9" max="9" width="12.625" customWidth="1"/>
  </cols>
  <sheetData>
    <row r="1" spans="1:9" x14ac:dyDescent="0.25">
      <c r="B1" t="s">
        <v>48</v>
      </c>
    </row>
    <row r="4" spans="1:9" x14ac:dyDescent="0.25">
      <c r="A4" s="5"/>
      <c r="B4" s="5" t="s">
        <v>9</v>
      </c>
      <c r="C4" s="5" t="str">
        <f>IF(C16&gt;=0.75, "Commercial", "Non-Commercial")</f>
        <v>Commercial</v>
      </c>
      <c r="D4" s="5"/>
      <c r="E4" s="16" t="s">
        <v>31</v>
      </c>
    </row>
    <row r="5" spans="1:9" x14ac:dyDescent="0.25">
      <c r="A5" s="5"/>
      <c r="B5" s="6" t="s">
        <v>71</v>
      </c>
      <c r="C5" s="59">
        <v>2018</v>
      </c>
      <c r="D5" s="5"/>
      <c r="E5" t="str">
        <f>CONCATENATE(C5,C4,"Commercial",C11)</f>
        <v>2018CommercialCommercialNo</v>
      </c>
    </row>
    <row r="6" spans="1:9" x14ac:dyDescent="0.25">
      <c r="A6" s="5"/>
      <c r="B6" s="5" t="s">
        <v>10</v>
      </c>
      <c r="C6" s="7">
        <f>F33</f>
        <v>189800</v>
      </c>
      <c r="D6" s="5"/>
      <c r="E6" t="str">
        <f>CONCATENATE(C5,C4,"Non-Commercial",C11)</f>
        <v>2018CommercialNon-CommercialNo</v>
      </c>
    </row>
    <row r="7" spans="1:9" x14ac:dyDescent="0.25">
      <c r="A7" s="5"/>
      <c r="B7" s="5" t="s">
        <v>11</v>
      </c>
      <c r="C7" s="7">
        <f>F28</f>
        <v>5000</v>
      </c>
      <c r="D7" s="5"/>
    </row>
    <row r="8" spans="1:9" x14ac:dyDescent="0.25">
      <c r="A8" s="5"/>
      <c r="B8" s="5" t="s">
        <v>12</v>
      </c>
      <c r="C8" s="7">
        <f>'MCT Schedule'!D2</f>
        <v>0</v>
      </c>
      <c r="D8" s="5"/>
    </row>
    <row r="9" spans="1:9" x14ac:dyDescent="0.25">
      <c r="A9" s="5"/>
      <c r="B9" s="5" t="s">
        <v>13</v>
      </c>
      <c r="C9" s="7">
        <f>K15</f>
        <v>0</v>
      </c>
      <c r="D9" s="5"/>
    </row>
    <row r="10" spans="1:9" x14ac:dyDescent="0.25">
      <c r="A10" s="5"/>
      <c r="B10" s="5" t="s">
        <v>14</v>
      </c>
      <c r="C10" s="7" t="str">
        <f>IF(C12= "No",IF(C4="Commercial",IF((F21-SUM('Loss Schedules'!I2:I6)-F28)&lt;='MCT Schedule'!B2,"MCT","Chargeable Profit"),"Chargeable Profit"),"Chargeable Profit")</f>
        <v>MCT</v>
      </c>
      <c r="D10" s="5"/>
    </row>
    <row r="11" spans="1:9" x14ac:dyDescent="0.25">
      <c r="A11" s="5"/>
      <c r="B11" s="5" t="s">
        <v>3</v>
      </c>
      <c r="C11" s="19" t="s">
        <v>8</v>
      </c>
      <c r="D11" s="5"/>
    </row>
    <row r="12" spans="1:9" x14ac:dyDescent="0.25">
      <c r="A12" s="5"/>
      <c r="B12" s="5" t="s">
        <v>15</v>
      </c>
      <c r="C12" s="19" t="s">
        <v>8</v>
      </c>
      <c r="D12" s="5"/>
      <c r="H12" s="4"/>
      <c r="I12" s="4"/>
    </row>
    <row r="13" spans="1:9" x14ac:dyDescent="0.25">
      <c r="A13" s="5"/>
      <c r="B13" s="5" t="s">
        <v>76</v>
      </c>
      <c r="C13" s="19" t="s">
        <v>7</v>
      </c>
      <c r="D13" s="5"/>
      <c r="H13" s="4"/>
      <c r="I13" s="4"/>
    </row>
    <row r="14" spans="1:9" x14ac:dyDescent="0.25">
      <c r="A14" s="5"/>
      <c r="B14" s="5"/>
      <c r="C14" s="6" t="s">
        <v>5</v>
      </c>
      <c r="D14" s="6" t="s">
        <v>6</v>
      </c>
      <c r="F14" s="12" t="s">
        <v>32</v>
      </c>
      <c r="H14" s="4"/>
      <c r="I14" s="4"/>
    </row>
    <row r="15" spans="1:9" x14ac:dyDescent="0.25">
      <c r="A15" s="5">
        <v>18</v>
      </c>
      <c r="B15" s="5" t="s">
        <v>16</v>
      </c>
      <c r="C15" s="20">
        <v>7500000</v>
      </c>
      <c r="D15" s="20">
        <v>1990000</v>
      </c>
      <c r="F15" s="13">
        <f>D15+C15</f>
        <v>9490000</v>
      </c>
      <c r="H15" s="4"/>
      <c r="I15" s="4"/>
    </row>
    <row r="16" spans="1:9" x14ac:dyDescent="0.25">
      <c r="A16" s="5"/>
      <c r="B16" s="5" t="s">
        <v>17</v>
      </c>
      <c r="C16" s="9">
        <f>C15/F15</f>
        <v>0.79030558482613278</v>
      </c>
      <c r="D16" s="9">
        <f>D15/F15</f>
        <v>0.20969441517386722</v>
      </c>
      <c r="H16" s="54"/>
      <c r="I16" s="55"/>
    </row>
    <row r="17" spans="1:11" x14ac:dyDescent="0.25">
      <c r="A17" s="5"/>
      <c r="B17" s="5"/>
      <c r="C17" s="9"/>
      <c r="D17" s="9"/>
      <c r="K17" s="56"/>
    </row>
    <row r="18" spans="1:11" x14ac:dyDescent="0.25">
      <c r="A18" s="5">
        <v>68</v>
      </c>
      <c r="B18" s="5" t="s">
        <v>18</v>
      </c>
      <c r="C18" s="8">
        <f>SUM('Loss Schedules'!C3)</f>
        <v>600000</v>
      </c>
      <c r="D18" s="8">
        <f>SUM('Loss Schedules'!C2,'Loss Schedules'!C4,'Loss Schedules'!C6)</f>
        <v>200000</v>
      </c>
      <c r="K18" s="56"/>
    </row>
    <row r="19" spans="1:11" x14ac:dyDescent="0.25">
      <c r="A19" s="5"/>
      <c r="B19" s="5" t="s">
        <v>19</v>
      </c>
      <c r="C19" s="42">
        <f>IF(C5&gt;2017,VLOOKUP(E5,RateRange,6,),IF(C4="Commercial",VLOOKUP(E6,RateRange,6),VLOOKUP(E5,RateRange,6)))</f>
        <v>0.4</v>
      </c>
      <c r="D19" s="42">
        <f>IF(C5&gt;2017,VLOOKUP(E6,RateRange,6),IF(C4="Commercial",VLOOKUP(E6,RateRange,6),VLOOKUP(E5,RateRange,6)))</f>
        <v>0.27500000000000002</v>
      </c>
      <c r="K19" s="56"/>
    </row>
    <row r="20" spans="1:11" x14ac:dyDescent="0.25">
      <c r="A20" s="5">
        <v>69</v>
      </c>
      <c r="B20" s="5" t="s">
        <v>20</v>
      </c>
      <c r="C20" s="8">
        <f>C18*C19</f>
        <v>240000</v>
      </c>
      <c r="D20" s="8">
        <f>D18*D19</f>
        <v>55000.000000000007</v>
      </c>
      <c r="F20" s="14"/>
      <c r="K20" s="56"/>
    </row>
    <row r="21" spans="1:11" x14ac:dyDescent="0.25">
      <c r="A21" s="5">
        <v>70</v>
      </c>
      <c r="B21" s="28" t="s">
        <v>21</v>
      </c>
      <c r="C21" s="8"/>
      <c r="D21" s="8"/>
      <c r="F21" s="14">
        <f>C20+D20</f>
        <v>295000</v>
      </c>
      <c r="J21" s="54"/>
    </row>
    <row r="22" spans="1:11" x14ac:dyDescent="0.25">
      <c r="A22" s="5"/>
      <c r="B22" s="28" t="s">
        <v>79</v>
      </c>
      <c r="C22" s="8"/>
      <c r="D22" s="8"/>
      <c r="F22" s="14">
        <f>F21-F28-'Loss Schedules'!I7</f>
        <v>145000</v>
      </c>
      <c r="J22" s="54"/>
    </row>
    <row r="23" spans="1:11" x14ac:dyDescent="0.25">
      <c r="A23" s="5">
        <v>71</v>
      </c>
      <c r="B23" s="5" t="s">
        <v>22</v>
      </c>
      <c r="C23" s="10"/>
      <c r="D23" s="10"/>
      <c r="F23" s="22">
        <v>0</v>
      </c>
      <c r="H23" t="s">
        <v>42</v>
      </c>
      <c r="I23" t="s">
        <v>59</v>
      </c>
    </row>
    <row r="24" spans="1:11" x14ac:dyDescent="0.25">
      <c r="A24" s="5"/>
      <c r="B24" s="5" t="s">
        <v>23</v>
      </c>
      <c r="C24" s="10"/>
      <c r="D24" s="10"/>
      <c r="F24" s="31">
        <v>0.75</v>
      </c>
    </row>
    <row r="25" spans="1:11" x14ac:dyDescent="0.25">
      <c r="A25" s="5">
        <v>72</v>
      </c>
      <c r="B25" s="5" t="s">
        <v>24</v>
      </c>
      <c r="C25" s="10"/>
      <c r="D25" s="10"/>
      <c r="F25" s="30">
        <f>IF(D16&gt;=0.75,F24*F21,0)</f>
        <v>0</v>
      </c>
      <c r="H25" t="s">
        <v>42</v>
      </c>
      <c r="I25" t="s">
        <v>58</v>
      </c>
    </row>
    <row r="26" spans="1:11" x14ac:dyDescent="0.25">
      <c r="A26" s="5">
        <v>73</v>
      </c>
      <c r="B26" s="5" t="s">
        <v>25</v>
      </c>
      <c r="C26" s="10"/>
      <c r="D26" s="10"/>
      <c r="F26" s="21">
        <v>3000</v>
      </c>
      <c r="H26" t="s">
        <v>56</v>
      </c>
      <c r="I26" t="s">
        <v>60</v>
      </c>
    </row>
    <row r="27" spans="1:11" x14ac:dyDescent="0.25">
      <c r="A27" s="5">
        <v>79</v>
      </c>
      <c r="B27" s="5" t="s">
        <v>55</v>
      </c>
      <c r="C27" s="10"/>
      <c r="D27" s="10"/>
      <c r="F27" s="21">
        <v>2000</v>
      </c>
      <c r="H27" t="s">
        <v>56</v>
      </c>
      <c r="I27" t="s">
        <v>60</v>
      </c>
    </row>
    <row r="28" spans="1:11" x14ac:dyDescent="0.25">
      <c r="A28" s="5"/>
      <c r="B28" s="5" t="s">
        <v>26</v>
      </c>
      <c r="C28" s="10"/>
      <c r="D28" s="10"/>
      <c r="F28" s="15">
        <f>IF( F23+F25+F26+F27 &gt;=F21, F21,F23+F25+F26+F27)</f>
        <v>5000</v>
      </c>
    </row>
    <row r="29" spans="1:11" x14ac:dyDescent="0.25">
      <c r="A29" s="5"/>
      <c r="B29" s="5" t="s">
        <v>27</v>
      </c>
      <c r="C29" s="10"/>
      <c r="D29" s="10"/>
      <c r="F29" s="13">
        <f>IF(OR(C10="MCT",C13="No"),SUM('Loss Schedules'!R2:R6),SUM('Loss Schedules'!I2:I6))</f>
        <v>253000</v>
      </c>
    </row>
    <row r="30" spans="1:11" x14ac:dyDescent="0.25">
      <c r="A30" s="5">
        <v>75</v>
      </c>
      <c r="B30" s="5" t="s">
        <v>28</v>
      </c>
      <c r="C30" s="10"/>
      <c r="D30" s="10"/>
      <c r="F30" s="13">
        <f>'MCT Schedule'!E2</f>
        <v>0</v>
      </c>
    </row>
    <row r="31" spans="1:11" x14ac:dyDescent="0.25">
      <c r="A31" s="5"/>
      <c r="B31" s="6" t="s">
        <v>29</v>
      </c>
      <c r="C31" s="10"/>
      <c r="D31" s="10"/>
      <c r="F31" s="15">
        <f>SUM(F28:F30)</f>
        <v>258000</v>
      </c>
      <c r="H31" s="14">
        <f>F21-F28</f>
        <v>290000</v>
      </c>
    </row>
    <row r="32" spans="1:11" x14ac:dyDescent="0.25">
      <c r="A32" s="5"/>
      <c r="B32" s="5" t="s">
        <v>80</v>
      </c>
      <c r="C32" s="7"/>
      <c r="D32" s="7"/>
      <c r="F32" s="14">
        <f>F21-F28-F29</f>
        <v>37000</v>
      </c>
      <c r="I32" s="14"/>
    </row>
    <row r="33" spans="1:6" x14ac:dyDescent="0.25">
      <c r="A33" s="5">
        <v>81</v>
      </c>
      <c r="B33" s="29" t="s">
        <v>30</v>
      </c>
      <c r="C33" s="11"/>
      <c r="D33" s="7"/>
      <c r="F33" s="14">
        <f>MAX(F21-F31,'MCT Schedule'!B2)</f>
        <v>189800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6"/>
  <sheetViews>
    <sheetView zoomScale="115" zoomScaleNormal="115" workbookViewId="0">
      <pane xSplit="2" topLeftCell="C1" activePane="topRight" state="frozen"/>
      <selection pane="topRight" activeCell="C10" sqref="C10"/>
    </sheetView>
  </sheetViews>
  <sheetFormatPr defaultColWidth="11" defaultRowHeight="15.75" x14ac:dyDescent="0.25"/>
  <cols>
    <col min="1" max="1" width="2.375" bestFit="1" customWidth="1"/>
    <col min="2" max="2" width="12.625" bestFit="1" customWidth="1"/>
    <col min="3" max="3" width="16" bestFit="1" customWidth="1"/>
    <col min="4" max="4" width="12.875" bestFit="1" customWidth="1"/>
    <col min="7" max="7" width="19.125" bestFit="1" customWidth="1"/>
    <col min="9" max="9" width="15.125" bestFit="1" customWidth="1"/>
    <col min="10" max="10" width="15.125" customWidth="1"/>
    <col min="11" max="11" width="8" bestFit="1" customWidth="1"/>
    <col min="12" max="12" width="8.875" bestFit="1" customWidth="1"/>
    <col min="13" max="14" width="15.125" customWidth="1"/>
    <col min="15" max="15" width="14.625" bestFit="1" customWidth="1"/>
    <col min="16" max="16" width="10.625" bestFit="1" customWidth="1"/>
    <col min="17" max="17" width="21.25" bestFit="1" customWidth="1"/>
    <col min="18" max="18" width="18.625" bestFit="1" customWidth="1"/>
    <col min="19" max="19" width="23" bestFit="1" customWidth="1"/>
    <col min="20" max="20" width="19.75" customWidth="1"/>
    <col min="21" max="21" width="11.5" bestFit="1" customWidth="1"/>
  </cols>
  <sheetData>
    <row r="1" spans="1:22" x14ac:dyDescent="0.25">
      <c r="B1" s="1" t="s">
        <v>33</v>
      </c>
      <c r="C1" s="1" t="s">
        <v>54</v>
      </c>
      <c r="D1" s="1" t="s">
        <v>34</v>
      </c>
      <c r="E1" s="1" t="s">
        <v>35</v>
      </c>
      <c r="F1" s="1" t="s">
        <v>36</v>
      </c>
      <c r="G1" s="1" t="s">
        <v>73</v>
      </c>
      <c r="H1" s="1" t="s">
        <v>37</v>
      </c>
      <c r="I1" s="1" t="s">
        <v>38</v>
      </c>
      <c r="K1" s="1" t="s">
        <v>19</v>
      </c>
      <c r="L1" s="1" t="s">
        <v>70</v>
      </c>
      <c r="M1" s="1" t="s">
        <v>69</v>
      </c>
      <c r="N1" s="1" t="s">
        <v>67</v>
      </c>
      <c r="O1" s="1" t="s">
        <v>53</v>
      </c>
      <c r="P1" s="1" t="s">
        <v>68</v>
      </c>
      <c r="Q1" s="1" t="s">
        <v>74</v>
      </c>
      <c r="R1" s="1" t="s">
        <v>75</v>
      </c>
      <c r="S1" s="1" t="s">
        <v>78</v>
      </c>
      <c r="T1" s="1" t="s">
        <v>77</v>
      </c>
    </row>
    <row r="2" spans="1:22" x14ac:dyDescent="0.25">
      <c r="A2" s="18" t="s">
        <v>42</v>
      </c>
      <c r="B2" t="s">
        <v>39</v>
      </c>
      <c r="C2" s="46">
        <v>150000</v>
      </c>
      <c r="D2" s="47">
        <v>1500000</v>
      </c>
      <c r="E2" s="45">
        <v>0</v>
      </c>
      <c r="F2" s="14">
        <f>D2+E2</f>
        <v>1500000</v>
      </c>
      <c r="G2" s="13">
        <f>MIN(P2,D2)</f>
        <v>71363.636363636353</v>
      </c>
      <c r="H2" s="14">
        <f>F2-G2</f>
        <v>1428636.3636363638</v>
      </c>
      <c r="I2" s="14">
        <f>G2*K2</f>
        <v>19625</v>
      </c>
      <c r="J2" s="17"/>
      <c r="K2" s="52">
        <f>'Abbreviated CT Return'!$D$19</f>
        <v>0.27500000000000002</v>
      </c>
      <c r="L2" s="14">
        <f>G10</f>
        <v>2000</v>
      </c>
      <c r="M2" s="14">
        <f>C2*K2</f>
        <v>41250</v>
      </c>
      <c r="N2" s="14">
        <f>MAX(M2-L2,0)</f>
        <v>39250</v>
      </c>
      <c r="O2" s="14">
        <f>N2*0.5</f>
        <v>19625</v>
      </c>
      <c r="P2" s="14">
        <f>O2/K2</f>
        <v>71363.636363636353</v>
      </c>
      <c r="Q2" s="14">
        <f>MIN(C2-(G10/K2),D2)</f>
        <v>142727.27272727274</v>
      </c>
      <c r="R2" s="14">
        <f>Q2*K2</f>
        <v>39250.000000000007</v>
      </c>
      <c r="S2" s="14">
        <f>N2/K2</f>
        <v>142727.27272727271</v>
      </c>
      <c r="T2" s="56">
        <f>C2/$C$7</f>
        <v>0.1875</v>
      </c>
      <c r="U2" s="13"/>
      <c r="V2" s="14"/>
    </row>
    <row r="3" spans="1:22" x14ac:dyDescent="0.25">
      <c r="A3" s="18" t="s">
        <v>40</v>
      </c>
      <c r="B3" t="s">
        <v>57</v>
      </c>
      <c r="C3" s="48">
        <v>600000</v>
      </c>
      <c r="D3" s="49">
        <v>500000</v>
      </c>
      <c r="E3" s="50">
        <v>0</v>
      </c>
      <c r="F3" s="14">
        <f>D3+E3</f>
        <v>500000</v>
      </c>
      <c r="G3" s="13">
        <f>MIN(P3,D3)</f>
        <v>296250</v>
      </c>
      <c r="H3" s="14">
        <f>F3-G3</f>
        <v>203750</v>
      </c>
      <c r="I3" s="14">
        <f>G3*K3</f>
        <v>118500</v>
      </c>
      <c r="J3" s="17"/>
      <c r="K3" s="52">
        <f>'Abbreviated CT Return'!$C$19</f>
        <v>0.4</v>
      </c>
      <c r="L3" s="14">
        <f>G11</f>
        <v>3000</v>
      </c>
      <c r="M3" s="14">
        <f>C3*K3</f>
        <v>240000</v>
      </c>
      <c r="N3" s="14">
        <f t="shared" ref="N3:N6" si="0">MAX(M3-L3,0)</f>
        <v>237000</v>
      </c>
      <c r="O3" s="14">
        <f t="shared" ref="O3:O6" si="1">N3*0.5</f>
        <v>118500</v>
      </c>
      <c r="P3" s="14">
        <f t="shared" ref="P3:P5" si="2">O3/K3</f>
        <v>296250</v>
      </c>
      <c r="Q3" s="14">
        <f>MIN(C3-(G11/K3),D3)</f>
        <v>500000</v>
      </c>
      <c r="R3" s="14">
        <f t="shared" ref="R3:R6" si="3">Q3*K3</f>
        <v>200000</v>
      </c>
      <c r="S3" s="14">
        <f t="shared" ref="S3:S6" si="4">N3/K3</f>
        <v>592500</v>
      </c>
      <c r="T3" s="56">
        <f t="shared" ref="T3:T6" si="5">C3/$C$7</f>
        <v>0.75</v>
      </c>
      <c r="U3" s="13"/>
    </row>
    <row r="4" spans="1:22" x14ac:dyDescent="0.25">
      <c r="A4" s="18" t="s">
        <v>42</v>
      </c>
      <c r="B4" t="s">
        <v>58</v>
      </c>
      <c r="C4" s="44">
        <v>0</v>
      </c>
      <c r="D4" s="51">
        <v>0</v>
      </c>
      <c r="E4" s="43">
        <v>0</v>
      </c>
      <c r="F4" s="14">
        <f>D4+E4</f>
        <v>0</v>
      </c>
      <c r="G4" s="13">
        <f>MIN(P4,D4)</f>
        <v>0</v>
      </c>
      <c r="H4" s="14">
        <f>F4-G4</f>
        <v>0</v>
      </c>
      <c r="I4" s="14">
        <f>G4*K4</f>
        <v>0</v>
      </c>
      <c r="J4" s="17"/>
      <c r="K4" s="52">
        <f>'Abbreviated CT Return'!$D$19</f>
        <v>0.27500000000000002</v>
      </c>
      <c r="L4" s="14">
        <f>G12</f>
        <v>0</v>
      </c>
      <c r="M4" s="14">
        <f>C4*K4</f>
        <v>0</v>
      </c>
      <c r="N4" s="14">
        <f t="shared" si="0"/>
        <v>0</v>
      </c>
      <c r="O4" s="14">
        <f t="shared" si="1"/>
        <v>0</v>
      </c>
      <c r="P4" s="14">
        <f t="shared" si="2"/>
        <v>0</v>
      </c>
      <c r="Q4" s="14">
        <f t="shared" ref="Q4:Q6" si="6">MIN(C4-(G12/K4),D4)</f>
        <v>0</v>
      </c>
      <c r="R4" s="14">
        <f t="shared" si="3"/>
        <v>0</v>
      </c>
      <c r="S4" s="14">
        <f t="shared" si="4"/>
        <v>0</v>
      </c>
      <c r="T4" s="56">
        <f t="shared" si="5"/>
        <v>0</v>
      </c>
      <c r="U4" s="13"/>
    </row>
    <row r="5" spans="1:22" x14ac:dyDescent="0.25">
      <c r="A5" s="18" t="s">
        <v>42</v>
      </c>
      <c r="B5" t="s">
        <v>40</v>
      </c>
      <c r="C5" s="41"/>
      <c r="D5" s="41"/>
      <c r="E5" s="41"/>
      <c r="F5" s="41"/>
      <c r="G5" s="41"/>
      <c r="H5" s="41"/>
      <c r="I5" s="41"/>
      <c r="J5" s="17"/>
      <c r="K5" s="52">
        <f>'Abbreviated CT Return'!$D$19</f>
        <v>0.27500000000000002</v>
      </c>
      <c r="L5" s="14">
        <f>G13</f>
        <v>0</v>
      </c>
      <c r="M5" s="14">
        <f>C5*K5</f>
        <v>0</v>
      </c>
      <c r="N5" s="14">
        <f t="shared" si="0"/>
        <v>0</v>
      </c>
      <c r="O5" s="14">
        <f t="shared" si="1"/>
        <v>0</v>
      </c>
      <c r="P5" s="14">
        <f t="shared" si="2"/>
        <v>0</v>
      </c>
      <c r="Q5" s="14">
        <f t="shared" si="6"/>
        <v>0</v>
      </c>
      <c r="R5" s="14">
        <f t="shared" si="3"/>
        <v>0</v>
      </c>
      <c r="S5" s="14">
        <f t="shared" si="4"/>
        <v>0</v>
      </c>
      <c r="T5" s="56">
        <f t="shared" si="5"/>
        <v>0</v>
      </c>
      <c r="U5" s="13"/>
    </row>
    <row r="6" spans="1:22" x14ac:dyDescent="0.25">
      <c r="A6" s="18" t="s">
        <v>42</v>
      </c>
      <c r="B6" t="s">
        <v>41</v>
      </c>
      <c r="C6" s="21">
        <v>50000</v>
      </c>
      <c r="D6" s="21">
        <v>50000</v>
      </c>
      <c r="E6" s="21">
        <v>0</v>
      </c>
      <c r="F6" s="14">
        <f t="shared" ref="F6" si="7">D6+E6</f>
        <v>50000</v>
      </c>
      <c r="G6" s="13">
        <f>MIN(P6,D6)</f>
        <v>25000</v>
      </c>
      <c r="H6" s="14">
        <f>F6-G6</f>
        <v>25000</v>
      </c>
      <c r="I6" s="14">
        <f>G6*K6</f>
        <v>6875.0000000000009</v>
      </c>
      <c r="J6" s="17"/>
      <c r="K6" s="52">
        <f>'Abbreviated CT Return'!$D$19</f>
        <v>0.27500000000000002</v>
      </c>
      <c r="L6" s="14">
        <f>G14</f>
        <v>0</v>
      </c>
      <c r="M6" s="14">
        <f>C6*K6</f>
        <v>13750.000000000002</v>
      </c>
      <c r="N6" s="14">
        <f t="shared" si="0"/>
        <v>13750.000000000002</v>
      </c>
      <c r="O6" s="14">
        <f t="shared" si="1"/>
        <v>6875.0000000000009</v>
      </c>
      <c r="P6" s="14">
        <f>O6/K6</f>
        <v>25000</v>
      </c>
      <c r="Q6" s="14">
        <f t="shared" si="6"/>
        <v>50000</v>
      </c>
      <c r="R6" s="14">
        <f t="shared" si="3"/>
        <v>13750.000000000002</v>
      </c>
      <c r="S6" s="14">
        <f t="shared" si="4"/>
        <v>50000</v>
      </c>
      <c r="T6" s="56">
        <f t="shared" si="5"/>
        <v>6.25E-2</v>
      </c>
      <c r="U6" s="13"/>
    </row>
    <row r="7" spans="1:22" x14ac:dyDescent="0.25">
      <c r="A7" s="32"/>
      <c r="B7" s="57" t="s">
        <v>32</v>
      </c>
      <c r="C7" s="14">
        <f>SUM(C2:C6)</f>
        <v>800000</v>
      </c>
      <c r="D7" s="14">
        <f>SUM(D2:D6)</f>
        <v>2050000</v>
      </c>
      <c r="E7" s="14"/>
      <c r="F7" s="14">
        <f>SUM(F2:F6)</f>
        <v>2050000</v>
      </c>
      <c r="G7" s="13"/>
      <c r="H7" s="14"/>
      <c r="I7" s="17">
        <f>SUM(I2:I6)</f>
        <v>145000</v>
      </c>
      <c r="K7" s="52"/>
      <c r="L7" s="58"/>
      <c r="M7" s="58">
        <f>SUM(M2:M6)</f>
        <v>295000</v>
      </c>
      <c r="N7" s="58">
        <f t="shared" ref="N7:P7" si="8">SUM(N2:N6)</f>
        <v>290000</v>
      </c>
      <c r="O7" s="58">
        <f t="shared" si="8"/>
        <v>145000</v>
      </c>
      <c r="P7" s="58">
        <f t="shared" si="8"/>
        <v>392613.63636363635</v>
      </c>
      <c r="Q7" s="58">
        <f>SUM(Q2:Q6)</f>
        <v>692727.27272727271</v>
      </c>
      <c r="R7" s="58">
        <f>SUM(R2:R6)</f>
        <v>253000</v>
      </c>
      <c r="S7" s="58">
        <f>SUM(S2:S6)</f>
        <v>785227.27272727271</v>
      </c>
      <c r="T7" s="56"/>
      <c r="U7" s="13"/>
    </row>
    <row r="8" spans="1:22" x14ac:dyDescent="0.25">
      <c r="G8" s="3"/>
      <c r="U8" s="13"/>
    </row>
    <row r="9" spans="1:22" x14ac:dyDescent="0.25">
      <c r="B9" s="33"/>
      <c r="C9" s="1" t="s">
        <v>22</v>
      </c>
      <c r="D9" s="1" t="s">
        <v>61</v>
      </c>
      <c r="E9" s="1" t="s">
        <v>62</v>
      </c>
      <c r="F9" s="1" t="s">
        <v>63</v>
      </c>
      <c r="G9" s="36" t="s">
        <v>64</v>
      </c>
      <c r="U9" s="13"/>
    </row>
    <row r="10" spans="1:22" x14ac:dyDescent="0.25">
      <c r="A10" s="18" t="s">
        <v>42</v>
      </c>
      <c r="B10" s="33" t="s">
        <v>39</v>
      </c>
      <c r="C10" s="21"/>
      <c r="D10" s="34"/>
      <c r="E10" s="21"/>
      <c r="F10" s="21">
        <v>2000</v>
      </c>
      <c r="G10" s="13">
        <f>SUM(C10:F10)</f>
        <v>2000</v>
      </c>
      <c r="S10" s="14"/>
      <c r="U10" s="13"/>
    </row>
    <row r="11" spans="1:22" x14ac:dyDescent="0.25">
      <c r="A11" s="18" t="s">
        <v>40</v>
      </c>
      <c r="B11" s="33" t="s">
        <v>57</v>
      </c>
      <c r="C11" s="34"/>
      <c r="D11" s="34"/>
      <c r="E11" s="21">
        <v>3000</v>
      </c>
      <c r="F11" s="21"/>
      <c r="G11" s="13">
        <f t="shared" ref="G11:G13" si="9">SUM(C11:F11)</f>
        <v>3000</v>
      </c>
      <c r="U11" s="13"/>
    </row>
    <row r="12" spans="1:22" x14ac:dyDescent="0.25">
      <c r="A12" s="18" t="s">
        <v>42</v>
      </c>
      <c r="B12" s="33" t="s">
        <v>58</v>
      </c>
      <c r="C12" s="21"/>
      <c r="D12" s="21"/>
      <c r="E12" s="21"/>
      <c r="F12" s="21">
        <v>0</v>
      </c>
      <c r="G12" s="13">
        <f t="shared" si="9"/>
        <v>0</v>
      </c>
      <c r="U12" s="13"/>
    </row>
    <row r="13" spans="1:22" x14ac:dyDescent="0.25">
      <c r="A13" s="18" t="s">
        <v>42</v>
      </c>
      <c r="B13" s="33" t="s">
        <v>40</v>
      </c>
      <c r="C13" s="34"/>
      <c r="D13" s="34"/>
      <c r="E13" s="34"/>
      <c r="F13" s="34"/>
      <c r="G13" s="13">
        <f t="shared" si="9"/>
        <v>0</v>
      </c>
      <c r="U13" s="13"/>
    </row>
    <row r="14" spans="1:22" x14ac:dyDescent="0.25">
      <c r="A14" s="18" t="s">
        <v>42</v>
      </c>
      <c r="B14" s="33" t="s">
        <v>41</v>
      </c>
      <c r="C14" s="34"/>
      <c r="D14" s="34"/>
      <c r="E14" s="21"/>
      <c r="F14" s="21"/>
      <c r="G14" s="13">
        <f>SUM(C14:F14)</f>
        <v>0</v>
      </c>
      <c r="U14" s="13"/>
    </row>
    <row r="15" spans="1:22" x14ac:dyDescent="0.25">
      <c r="A15" s="32"/>
      <c r="B15" s="35"/>
      <c r="C15" s="35"/>
      <c r="D15" s="35"/>
      <c r="E15" s="35"/>
      <c r="F15" s="35"/>
      <c r="G15" s="35"/>
      <c r="U15" s="13"/>
    </row>
    <row r="16" spans="1:22" x14ac:dyDescent="0.25">
      <c r="B16" s="37" t="s">
        <v>65</v>
      </c>
      <c r="C16" s="21">
        <f>SUM(C10:C15)</f>
        <v>0</v>
      </c>
      <c r="D16" s="21">
        <f t="shared" ref="D16:G16" si="10">SUM(D10:D15)</f>
        <v>0</v>
      </c>
      <c r="E16" s="21">
        <f t="shared" si="10"/>
        <v>3000</v>
      </c>
      <c r="F16" s="21">
        <f t="shared" si="10"/>
        <v>2000</v>
      </c>
      <c r="G16" s="13">
        <f t="shared" si="10"/>
        <v>5000</v>
      </c>
      <c r="U16" s="13"/>
    </row>
    <row r="17" spans="2:21" x14ac:dyDescent="0.25">
      <c r="B17" s="38" t="s">
        <v>66</v>
      </c>
      <c r="C17" s="13">
        <f>'Abbreviated CT Return'!F23</f>
        <v>0</v>
      </c>
      <c r="D17" s="13">
        <f>'Abbreviated CT Return'!F25</f>
        <v>0</v>
      </c>
      <c r="E17" s="13">
        <f>'Abbreviated CT Return'!F26</f>
        <v>3000</v>
      </c>
      <c r="F17" s="13">
        <f>'Abbreviated CT Return'!F27</f>
        <v>2000</v>
      </c>
      <c r="G17" s="39"/>
      <c r="U17" s="13"/>
    </row>
    <row r="18" spans="2:21" x14ac:dyDescent="0.25">
      <c r="C18" s="14">
        <f>C17-C16</f>
        <v>0</v>
      </c>
      <c r="D18" s="14">
        <f t="shared" ref="D18:F18" si="11">D17-D16</f>
        <v>0</v>
      </c>
      <c r="E18" s="14">
        <f t="shared" si="11"/>
        <v>0</v>
      </c>
      <c r="F18" s="14">
        <f t="shared" si="11"/>
        <v>0</v>
      </c>
      <c r="G18" s="39">
        <f>SUM(C18:F18)</f>
        <v>0</v>
      </c>
      <c r="U18" s="13"/>
    </row>
    <row r="19" spans="2:21" x14ac:dyDescent="0.25">
      <c r="U19" s="13"/>
    </row>
    <row r="20" spans="2:21" x14ac:dyDescent="0.25">
      <c r="U20" s="13"/>
    </row>
    <row r="21" spans="2:21" x14ac:dyDescent="0.25">
      <c r="U21" s="13"/>
    </row>
    <row r="22" spans="2:21" x14ac:dyDescent="0.25">
      <c r="U22" s="13"/>
    </row>
    <row r="23" spans="2:21" x14ac:dyDescent="0.25">
      <c r="U23" s="13"/>
    </row>
    <row r="24" spans="2:21" x14ac:dyDescent="0.25">
      <c r="U24" s="13"/>
    </row>
    <row r="25" spans="2:21" x14ac:dyDescent="0.25">
      <c r="U25" s="13"/>
    </row>
    <row r="26" spans="2:21" x14ac:dyDescent="0.25">
      <c r="U26" s="13"/>
    </row>
  </sheetData>
  <pageMargins left="0.7" right="0.7" top="0.75" bottom="0.75" header="0.3" footer="0.3"/>
  <pageSetup orientation="portrait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"/>
  <sheetViews>
    <sheetView zoomScale="175" zoomScaleNormal="175" workbookViewId="0">
      <selection activeCell="F2" sqref="F2"/>
    </sheetView>
  </sheetViews>
  <sheetFormatPr defaultColWidth="11" defaultRowHeight="15.75" x14ac:dyDescent="0.25"/>
  <cols>
    <col min="1" max="1" width="15.125" bestFit="1" customWidth="1"/>
    <col min="2" max="2" width="13.875" bestFit="1" customWidth="1"/>
    <col min="3" max="3" width="13.625" bestFit="1" customWidth="1"/>
    <col min="4" max="4" width="14.875" bestFit="1" customWidth="1"/>
    <col min="5" max="5" width="17.125" bestFit="1" customWidth="1"/>
    <col min="6" max="6" width="17.125" customWidth="1"/>
    <col min="7" max="7" width="13.5" bestFit="1" customWidth="1"/>
    <col min="14" max="14" width="27.375" customWidth="1"/>
  </cols>
  <sheetData>
    <row r="1" spans="1:15" x14ac:dyDescent="0.25">
      <c r="A1" s="1" t="s">
        <v>14</v>
      </c>
      <c r="B1" s="1" t="s">
        <v>43</v>
      </c>
      <c r="C1" s="1" t="s">
        <v>44</v>
      </c>
      <c r="D1" s="40" t="s">
        <v>45</v>
      </c>
      <c r="E1" s="1" t="s">
        <v>46</v>
      </c>
      <c r="F1" s="1" t="s">
        <v>72</v>
      </c>
      <c r="G1" s="1" t="s">
        <v>47</v>
      </c>
    </row>
    <row r="2" spans="1:15" x14ac:dyDescent="0.25">
      <c r="A2" t="str">
        <f>'Abbreviated CT Return'!C10</f>
        <v>MCT</v>
      </c>
      <c r="B2" s="13">
        <f>'Abbreviated CT Return'!F15*2%</f>
        <v>189800</v>
      </c>
      <c r="C2" s="21">
        <v>36000</v>
      </c>
      <c r="D2" s="14">
        <f>MAX(IF(AND('Abbreviated CT Return'!C4="Commercial",A2="Chargeable Profit"),'Abbreviated CT Return'!F21-'Abbreviated CT Return'!F28-B2,0),0)</f>
        <v>0</v>
      </c>
      <c r="E2" s="14">
        <f>MIN(D2,C2)</f>
        <v>0</v>
      </c>
      <c r="F2" s="14">
        <f>MAX(0,IF(A2="MCT",B2-'Abbreviated CT Return'!F32,0))</f>
        <v>152800</v>
      </c>
      <c r="G2" s="14">
        <f>C2-E2+F2</f>
        <v>188800</v>
      </c>
      <c r="O2" s="14"/>
    </row>
    <row r="5" spans="1:15" x14ac:dyDescent="0.25">
      <c r="C5" s="14"/>
    </row>
    <row r="6" spans="1:15" x14ac:dyDescent="0.25">
      <c r="B6" s="14"/>
    </row>
    <row r="7" spans="1:15" x14ac:dyDescent="0.25">
      <c r="C7" s="14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5" zoomScale="145" zoomScaleNormal="145" workbookViewId="0">
      <selection activeCell="F10" sqref="F10"/>
    </sheetView>
  </sheetViews>
  <sheetFormatPr defaultColWidth="11" defaultRowHeight="15.75" x14ac:dyDescent="0.25"/>
  <cols>
    <col min="1" max="1" width="36.375" bestFit="1" customWidth="1"/>
    <col min="2" max="2" width="5.125" customWidth="1"/>
    <col min="3" max="3" width="16.875" customWidth="1"/>
    <col min="4" max="4" width="16.625" customWidth="1"/>
    <col min="5" max="5" width="9.5" customWidth="1"/>
    <col min="6" max="6" width="7.125" bestFit="1" customWidth="1"/>
    <col min="8" max="8" width="43" customWidth="1"/>
  </cols>
  <sheetData>
    <row r="1" spans="1:6" x14ac:dyDescent="0.25">
      <c r="A1" s="2" t="s">
        <v>0</v>
      </c>
      <c r="B1" s="2" t="s">
        <v>52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25">
      <c r="A2" t="str">
        <f>_xlfn.CONCAT(B2,C2,D2,E2)</f>
        <v>2012CommercialCommercialYes</v>
      </c>
      <c r="B2">
        <v>2012</v>
      </c>
      <c r="C2" t="s">
        <v>5</v>
      </c>
      <c r="D2" t="s">
        <v>5</v>
      </c>
      <c r="E2" t="s">
        <v>7</v>
      </c>
      <c r="F2" s="23">
        <v>0.45</v>
      </c>
    </row>
    <row r="3" spans="1:6" x14ac:dyDescent="0.25">
      <c r="A3" t="str">
        <f t="shared" ref="A3:A46" si="0">_xlfn.CONCAT(B3,C3,D3,E3)</f>
        <v>2012CommercialCommercialNo</v>
      </c>
      <c r="B3">
        <v>2012</v>
      </c>
      <c r="C3" t="s">
        <v>5</v>
      </c>
      <c r="D3" t="s">
        <v>5</v>
      </c>
      <c r="E3" t="s">
        <v>8</v>
      </c>
      <c r="F3" s="24">
        <v>0.45</v>
      </c>
    </row>
    <row r="4" spans="1:6" x14ac:dyDescent="0.25">
      <c r="A4" t="str">
        <f t="shared" si="0"/>
        <v>2012CommercialNon-CommercialNo</v>
      </c>
      <c r="B4">
        <v>2012</v>
      </c>
      <c r="C4" t="s">
        <v>5</v>
      </c>
      <c r="D4" t="s">
        <v>6</v>
      </c>
      <c r="E4" t="s">
        <v>8</v>
      </c>
      <c r="F4" s="26">
        <v>0.35</v>
      </c>
    </row>
    <row r="5" spans="1:6" x14ac:dyDescent="0.25">
      <c r="A5" t="str">
        <f t="shared" si="0"/>
        <v>2012Non-CommercialCommercialNo</v>
      </c>
      <c r="B5">
        <v>2012</v>
      </c>
      <c r="C5" t="s">
        <v>6</v>
      </c>
      <c r="D5" t="s">
        <v>5</v>
      </c>
      <c r="E5" t="s">
        <v>8</v>
      </c>
      <c r="F5" s="24">
        <v>0.45</v>
      </c>
    </row>
    <row r="6" spans="1:6" x14ac:dyDescent="0.25">
      <c r="A6" t="str">
        <f t="shared" si="0"/>
        <v>2012Non-CommercialNon-CommercialNo</v>
      </c>
      <c r="B6">
        <v>2012</v>
      </c>
      <c r="C6" t="s">
        <v>6</v>
      </c>
      <c r="D6" t="s">
        <v>6</v>
      </c>
      <c r="E6" t="s">
        <v>8</v>
      </c>
      <c r="F6" s="25">
        <v>0.35</v>
      </c>
    </row>
    <row r="7" spans="1:6" x14ac:dyDescent="0.25">
      <c r="A7" t="str">
        <f t="shared" si="0"/>
        <v>2013CommercialCommercialYes</v>
      </c>
      <c r="B7">
        <v>2013</v>
      </c>
      <c r="C7" t="s">
        <v>5</v>
      </c>
      <c r="D7" t="s">
        <v>5</v>
      </c>
      <c r="E7" t="s">
        <v>7</v>
      </c>
      <c r="F7" s="23">
        <v>0.45</v>
      </c>
    </row>
    <row r="8" spans="1:6" x14ac:dyDescent="0.25">
      <c r="A8" t="str">
        <f t="shared" si="0"/>
        <v>2013CommercialCommercialNo</v>
      </c>
      <c r="B8">
        <v>2013</v>
      </c>
      <c r="C8" t="s">
        <v>5</v>
      </c>
      <c r="D8" t="s">
        <v>5</v>
      </c>
      <c r="E8" t="s">
        <v>8</v>
      </c>
      <c r="F8" s="24">
        <v>0.45</v>
      </c>
    </row>
    <row r="9" spans="1:6" x14ac:dyDescent="0.25">
      <c r="A9" t="str">
        <f t="shared" si="0"/>
        <v>2013CommercialNon-CommercialNo</v>
      </c>
      <c r="B9">
        <v>2013</v>
      </c>
      <c r="C9" t="s">
        <v>5</v>
      </c>
      <c r="D9" t="s">
        <v>6</v>
      </c>
      <c r="E9" t="s">
        <v>8</v>
      </c>
      <c r="F9" s="26">
        <v>0.35</v>
      </c>
    </row>
    <row r="10" spans="1:6" x14ac:dyDescent="0.25">
      <c r="A10" t="str">
        <f t="shared" si="0"/>
        <v>2013Non-CommercialCommercialNo</v>
      </c>
      <c r="B10">
        <v>2013</v>
      </c>
      <c r="C10" t="s">
        <v>6</v>
      </c>
      <c r="D10" t="s">
        <v>5</v>
      </c>
      <c r="E10" t="s">
        <v>8</v>
      </c>
      <c r="F10" s="24">
        <v>0.45</v>
      </c>
    </row>
    <row r="11" spans="1:6" x14ac:dyDescent="0.25">
      <c r="A11" t="str">
        <f t="shared" si="0"/>
        <v>2013Non-CommercialNon-CommercialNo</v>
      </c>
      <c r="B11">
        <v>2013</v>
      </c>
      <c r="C11" t="s">
        <v>6</v>
      </c>
      <c r="D11" t="s">
        <v>6</v>
      </c>
      <c r="E11" t="s">
        <v>8</v>
      </c>
      <c r="F11" s="25">
        <v>0.35</v>
      </c>
    </row>
    <row r="12" spans="1:6" x14ac:dyDescent="0.25">
      <c r="A12" t="str">
        <f t="shared" si="0"/>
        <v>2014CommercialCommercialYes</v>
      </c>
      <c r="B12">
        <v>2014</v>
      </c>
      <c r="C12" t="s">
        <v>5</v>
      </c>
      <c r="D12" t="s">
        <v>5</v>
      </c>
      <c r="E12" t="s">
        <v>7</v>
      </c>
      <c r="F12" s="23">
        <v>0.45</v>
      </c>
    </row>
    <row r="13" spans="1:6" x14ac:dyDescent="0.25">
      <c r="A13" t="str">
        <f t="shared" si="0"/>
        <v>2014CommercialCommercialNo</v>
      </c>
      <c r="B13">
        <v>2014</v>
      </c>
      <c r="C13" t="s">
        <v>5</v>
      </c>
      <c r="D13" t="s">
        <v>5</v>
      </c>
      <c r="E13" t="s">
        <v>8</v>
      </c>
      <c r="F13" s="24">
        <v>0.4</v>
      </c>
    </row>
    <row r="14" spans="1:6" x14ac:dyDescent="0.25">
      <c r="A14" t="str">
        <f t="shared" si="0"/>
        <v>2014CommercialNon-CommercialNo</v>
      </c>
      <c r="B14">
        <v>2014</v>
      </c>
      <c r="C14" t="s">
        <v>5</v>
      </c>
      <c r="D14" t="s">
        <v>6</v>
      </c>
      <c r="E14" t="s">
        <v>8</v>
      </c>
      <c r="F14" s="26">
        <v>0.4</v>
      </c>
    </row>
    <row r="15" spans="1:6" x14ac:dyDescent="0.25">
      <c r="A15" t="str">
        <f t="shared" si="0"/>
        <v>2014Non-CommercialCommercialNo</v>
      </c>
      <c r="B15">
        <v>2014</v>
      </c>
      <c r="C15" t="s">
        <v>6</v>
      </c>
      <c r="D15" t="s">
        <v>5</v>
      </c>
      <c r="E15" t="s">
        <v>8</v>
      </c>
      <c r="F15" s="24">
        <v>0.3</v>
      </c>
    </row>
    <row r="16" spans="1:6" x14ac:dyDescent="0.25">
      <c r="A16" t="str">
        <f t="shared" si="0"/>
        <v>2014Non-CommercialNon-CommercialNo</v>
      </c>
      <c r="B16">
        <v>2014</v>
      </c>
      <c r="C16" t="s">
        <v>6</v>
      </c>
      <c r="D16" t="s">
        <v>6</v>
      </c>
      <c r="E16" t="s">
        <v>8</v>
      </c>
      <c r="F16" s="25">
        <v>0.3</v>
      </c>
    </row>
    <row r="17" spans="1:6" x14ac:dyDescent="0.25">
      <c r="A17" t="str">
        <f t="shared" si="0"/>
        <v>2015CommercialCommercialYes</v>
      </c>
      <c r="B17">
        <v>2015</v>
      </c>
      <c r="C17" t="s">
        <v>5</v>
      </c>
      <c r="D17" t="s">
        <v>5</v>
      </c>
      <c r="E17" t="s">
        <v>7</v>
      </c>
      <c r="F17" s="23">
        <v>0.45</v>
      </c>
    </row>
    <row r="18" spans="1:6" x14ac:dyDescent="0.25">
      <c r="A18" t="str">
        <f t="shared" si="0"/>
        <v>2015CommercialCommercialNo</v>
      </c>
      <c r="B18">
        <v>2015</v>
      </c>
      <c r="C18" t="s">
        <v>5</v>
      </c>
      <c r="D18" t="s">
        <v>5</v>
      </c>
      <c r="E18" t="s">
        <v>8</v>
      </c>
      <c r="F18" s="24">
        <v>0.4</v>
      </c>
    </row>
    <row r="19" spans="1:6" x14ac:dyDescent="0.25">
      <c r="A19" t="str">
        <f t="shared" si="0"/>
        <v>2015CommercialNon-CommercialNo</v>
      </c>
      <c r="B19">
        <v>2015</v>
      </c>
      <c r="C19" t="s">
        <v>5</v>
      </c>
      <c r="D19" t="s">
        <v>6</v>
      </c>
      <c r="E19" t="s">
        <v>8</v>
      </c>
      <c r="F19" s="26">
        <v>0.4</v>
      </c>
    </row>
    <row r="20" spans="1:6" x14ac:dyDescent="0.25">
      <c r="A20" t="str">
        <f t="shared" si="0"/>
        <v>2015Non-CommercialCommercialNo</v>
      </c>
      <c r="B20">
        <v>2015</v>
      </c>
      <c r="C20" t="s">
        <v>6</v>
      </c>
      <c r="D20" t="s">
        <v>5</v>
      </c>
      <c r="E20" t="s">
        <v>8</v>
      </c>
      <c r="F20" s="24">
        <v>0.3</v>
      </c>
    </row>
    <row r="21" spans="1:6" x14ac:dyDescent="0.25">
      <c r="A21" t="str">
        <f t="shared" si="0"/>
        <v>2015Non-CommercialNon-CommercialNo</v>
      </c>
      <c r="B21">
        <v>2015</v>
      </c>
      <c r="C21" t="s">
        <v>6</v>
      </c>
      <c r="D21" t="s">
        <v>6</v>
      </c>
      <c r="E21" t="s">
        <v>8</v>
      </c>
      <c r="F21" s="25">
        <v>0.3</v>
      </c>
    </row>
    <row r="22" spans="1:6" x14ac:dyDescent="0.25">
      <c r="A22" t="str">
        <f t="shared" si="0"/>
        <v>2016CommercialCommercialYes</v>
      </c>
      <c r="B22">
        <v>2016</v>
      </c>
      <c r="C22" t="s">
        <v>5</v>
      </c>
      <c r="D22" t="s">
        <v>5</v>
      </c>
      <c r="E22" t="s">
        <v>7</v>
      </c>
      <c r="F22" s="23">
        <v>0.45</v>
      </c>
    </row>
    <row r="23" spans="1:6" x14ac:dyDescent="0.25">
      <c r="A23" t="str">
        <f t="shared" si="0"/>
        <v>2016CommercialCommercialNo</v>
      </c>
      <c r="B23">
        <v>2016</v>
      </c>
      <c r="C23" t="s">
        <v>5</v>
      </c>
      <c r="D23" t="s">
        <v>5</v>
      </c>
      <c r="E23" t="s">
        <v>8</v>
      </c>
      <c r="F23" s="24">
        <v>0.4</v>
      </c>
    </row>
    <row r="24" spans="1:6" x14ac:dyDescent="0.25">
      <c r="A24" t="str">
        <f t="shared" si="0"/>
        <v>2016CommercialNon-CommercialNo</v>
      </c>
      <c r="B24">
        <v>2016</v>
      </c>
      <c r="C24" t="s">
        <v>5</v>
      </c>
      <c r="D24" t="s">
        <v>6</v>
      </c>
      <c r="E24" t="s">
        <v>8</v>
      </c>
      <c r="F24" s="26">
        <v>0.4</v>
      </c>
    </row>
    <row r="25" spans="1:6" x14ac:dyDescent="0.25">
      <c r="A25" t="str">
        <f t="shared" si="0"/>
        <v>2016Non-CommercialCommercialNo</v>
      </c>
      <c r="B25">
        <v>2016</v>
      </c>
      <c r="C25" t="s">
        <v>6</v>
      </c>
      <c r="D25" t="s">
        <v>5</v>
      </c>
      <c r="E25" t="s">
        <v>8</v>
      </c>
      <c r="F25" s="24">
        <v>0.3</v>
      </c>
    </row>
    <row r="26" spans="1:6" x14ac:dyDescent="0.25">
      <c r="A26" t="str">
        <f t="shared" si="0"/>
        <v>2016Non-CommercialNon-CommercialNo</v>
      </c>
      <c r="B26">
        <v>2016</v>
      </c>
      <c r="C26" t="s">
        <v>6</v>
      </c>
      <c r="D26" t="s">
        <v>6</v>
      </c>
      <c r="E26" t="s">
        <v>8</v>
      </c>
      <c r="F26" s="25">
        <v>0.3</v>
      </c>
    </row>
    <row r="27" spans="1:6" x14ac:dyDescent="0.25">
      <c r="A27" t="str">
        <f t="shared" si="0"/>
        <v>2017CommercialCommercialYes</v>
      </c>
      <c r="B27">
        <v>2017</v>
      </c>
      <c r="C27" t="s">
        <v>5</v>
      </c>
      <c r="D27" t="s">
        <v>5</v>
      </c>
      <c r="E27" t="s">
        <v>7</v>
      </c>
      <c r="F27" s="23">
        <v>0.45</v>
      </c>
    </row>
    <row r="28" spans="1:6" x14ac:dyDescent="0.25">
      <c r="A28" t="str">
        <f t="shared" si="0"/>
        <v>2017CommercialCommercialNo</v>
      </c>
      <c r="B28">
        <v>2017</v>
      </c>
      <c r="C28" t="s">
        <v>5</v>
      </c>
      <c r="D28" t="s">
        <v>5</v>
      </c>
      <c r="E28" t="s">
        <v>8</v>
      </c>
      <c r="F28" s="24">
        <v>0.4</v>
      </c>
    </row>
    <row r="29" spans="1:6" x14ac:dyDescent="0.25">
      <c r="A29" t="str">
        <f t="shared" si="0"/>
        <v>2017CommercialNon-CommercialNo</v>
      </c>
      <c r="B29">
        <v>2017</v>
      </c>
      <c r="C29" t="s">
        <v>5</v>
      </c>
      <c r="D29" t="s">
        <v>6</v>
      </c>
      <c r="E29" t="s">
        <v>8</v>
      </c>
      <c r="F29" s="26">
        <v>0.4</v>
      </c>
    </row>
    <row r="30" spans="1:6" x14ac:dyDescent="0.25">
      <c r="A30" t="str">
        <f t="shared" si="0"/>
        <v>2017Non-CommercialCommercialNo</v>
      </c>
      <c r="B30">
        <v>2017</v>
      </c>
      <c r="C30" t="s">
        <v>6</v>
      </c>
      <c r="D30" t="s">
        <v>5</v>
      </c>
      <c r="E30" t="s">
        <v>8</v>
      </c>
      <c r="F30" s="24">
        <v>0.3</v>
      </c>
    </row>
    <row r="31" spans="1:6" x14ac:dyDescent="0.25">
      <c r="A31" t="str">
        <f t="shared" si="0"/>
        <v>2017Non-CommercialNon-CommercialNo</v>
      </c>
      <c r="B31">
        <v>2017</v>
      </c>
      <c r="C31" t="s">
        <v>6</v>
      </c>
      <c r="D31" t="s">
        <v>6</v>
      </c>
      <c r="E31" t="s">
        <v>8</v>
      </c>
      <c r="F31" s="25">
        <v>0.3</v>
      </c>
    </row>
    <row r="32" spans="1:6" x14ac:dyDescent="0.25">
      <c r="A32" t="str">
        <f t="shared" si="0"/>
        <v>2018CommercialCommercialYes</v>
      </c>
      <c r="B32">
        <v>2018</v>
      </c>
      <c r="C32" t="s">
        <v>5</v>
      </c>
      <c r="D32" t="s">
        <v>5</v>
      </c>
      <c r="E32" t="s">
        <v>7</v>
      </c>
      <c r="F32" s="23">
        <v>0.45</v>
      </c>
    </row>
    <row r="33" spans="1:8" x14ac:dyDescent="0.25">
      <c r="A33" t="str">
        <f t="shared" si="0"/>
        <v>2018CommercialCommercialNo</v>
      </c>
      <c r="B33">
        <v>2018</v>
      </c>
      <c r="C33" t="s">
        <v>5</v>
      </c>
      <c r="D33" t="s">
        <v>5</v>
      </c>
      <c r="E33" t="s">
        <v>8</v>
      </c>
      <c r="F33" s="24">
        <v>0.4</v>
      </c>
    </row>
    <row r="34" spans="1:8" x14ac:dyDescent="0.25">
      <c r="A34" t="str">
        <f t="shared" si="0"/>
        <v>2018CommercialNon-CommercialNo</v>
      </c>
      <c r="B34">
        <v>2018</v>
      </c>
      <c r="C34" t="s">
        <v>5</v>
      </c>
      <c r="D34" t="s">
        <v>6</v>
      </c>
      <c r="E34" t="s">
        <v>8</v>
      </c>
      <c r="F34" s="25">
        <v>0.27500000000000002</v>
      </c>
    </row>
    <row r="35" spans="1:8" x14ac:dyDescent="0.25">
      <c r="A35" t="str">
        <f t="shared" si="0"/>
        <v>2018Non-CommercialCommercialNo</v>
      </c>
      <c r="B35">
        <v>2018</v>
      </c>
      <c r="C35" t="s">
        <v>6</v>
      </c>
      <c r="D35" t="s">
        <v>5</v>
      </c>
      <c r="E35" t="s">
        <v>8</v>
      </c>
      <c r="F35" s="24">
        <v>0.4</v>
      </c>
    </row>
    <row r="36" spans="1:8" x14ac:dyDescent="0.25">
      <c r="A36" t="str">
        <f t="shared" si="0"/>
        <v>2018Non-CommercialNon-CommercialNo</v>
      </c>
      <c r="B36">
        <v>2018</v>
      </c>
      <c r="C36" t="s">
        <v>6</v>
      </c>
      <c r="D36" t="s">
        <v>6</v>
      </c>
      <c r="E36" t="s">
        <v>8</v>
      </c>
      <c r="F36" s="25">
        <v>0.27500000000000002</v>
      </c>
    </row>
    <row r="37" spans="1:8" x14ac:dyDescent="0.25">
      <c r="A37" t="str">
        <f t="shared" si="0"/>
        <v>2019CommercialCommercialYes</v>
      </c>
      <c r="B37">
        <v>2019</v>
      </c>
      <c r="C37" t="s">
        <v>5</v>
      </c>
      <c r="D37" t="s">
        <v>5</v>
      </c>
      <c r="E37" t="s">
        <v>7</v>
      </c>
      <c r="F37" s="23">
        <v>0.45</v>
      </c>
    </row>
    <row r="38" spans="1:8" x14ac:dyDescent="0.25">
      <c r="A38" t="str">
        <f t="shared" si="0"/>
        <v>2019CommercialCommercialNo</v>
      </c>
      <c r="B38">
        <v>2019</v>
      </c>
      <c r="C38" t="s">
        <v>5</v>
      </c>
      <c r="D38" t="s">
        <v>5</v>
      </c>
      <c r="E38" t="s">
        <v>8</v>
      </c>
      <c r="F38" s="24">
        <v>0.4</v>
      </c>
    </row>
    <row r="39" spans="1:8" x14ac:dyDescent="0.25">
      <c r="A39" t="str">
        <f t="shared" si="0"/>
        <v>2019CommercialNon-CommercialNo</v>
      </c>
      <c r="B39">
        <v>2019</v>
      </c>
      <c r="C39" t="s">
        <v>5</v>
      </c>
      <c r="D39" t="s">
        <v>6</v>
      </c>
      <c r="E39" t="s">
        <v>8</v>
      </c>
      <c r="F39" s="25">
        <v>0.27500000000000002</v>
      </c>
    </row>
    <row r="40" spans="1:8" x14ac:dyDescent="0.25">
      <c r="A40" t="str">
        <f t="shared" si="0"/>
        <v>2019Non-CommercialCommercialNo</v>
      </c>
      <c r="B40">
        <v>2019</v>
      </c>
      <c r="C40" t="s">
        <v>6</v>
      </c>
      <c r="D40" t="s">
        <v>5</v>
      </c>
      <c r="E40" t="s">
        <v>8</v>
      </c>
      <c r="F40" s="53">
        <v>0.4</v>
      </c>
    </row>
    <row r="41" spans="1:8" x14ac:dyDescent="0.25">
      <c r="A41" t="str">
        <f t="shared" si="0"/>
        <v>2019Non-CommercialNon-CommercialNo</v>
      </c>
      <c r="B41">
        <v>2019</v>
      </c>
      <c r="C41" t="s">
        <v>6</v>
      </c>
      <c r="D41" t="s">
        <v>6</v>
      </c>
      <c r="E41" t="s">
        <v>8</v>
      </c>
      <c r="F41" s="25">
        <v>0.27500000000000002</v>
      </c>
    </row>
    <row r="42" spans="1:8" x14ac:dyDescent="0.25">
      <c r="A42" t="str">
        <f t="shared" si="0"/>
        <v>2020CommercialCommercialYes</v>
      </c>
      <c r="B42">
        <v>2020</v>
      </c>
      <c r="C42" t="s">
        <v>5</v>
      </c>
      <c r="D42" t="s">
        <v>5</v>
      </c>
      <c r="E42" t="s">
        <v>7</v>
      </c>
      <c r="F42" s="23">
        <v>0.45</v>
      </c>
    </row>
    <row r="43" spans="1:8" x14ac:dyDescent="0.25">
      <c r="A43" t="str">
        <f t="shared" si="0"/>
        <v>2020CommercialCommercialNo</v>
      </c>
      <c r="B43">
        <v>2020</v>
      </c>
      <c r="C43" t="s">
        <v>5</v>
      </c>
      <c r="D43" t="s">
        <v>5</v>
      </c>
      <c r="E43" t="s">
        <v>8</v>
      </c>
      <c r="F43" s="24">
        <v>0.4</v>
      </c>
    </row>
    <row r="44" spans="1:8" x14ac:dyDescent="0.25">
      <c r="A44" t="str">
        <f t="shared" si="0"/>
        <v>2020CommercialNon-CommercialNo</v>
      </c>
      <c r="B44">
        <v>2020</v>
      </c>
      <c r="C44" t="s">
        <v>5</v>
      </c>
      <c r="D44" t="s">
        <v>6</v>
      </c>
      <c r="E44" t="s">
        <v>8</v>
      </c>
      <c r="F44" s="26">
        <v>0.25</v>
      </c>
    </row>
    <row r="45" spans="1:8" x14ac:dyDescent="0.25">
      <c r="A45" t="str">
        <f t="shared" si="0"/>
        <v>2020Non-CommercialCommercialNo</v>
      </c>
      <c r="B45">
        <v>2020</v>
      </c>
      <c r="C45" t="s">
        <v>6</v>
      </c>
      <c r="D45" t="s">
        <v>5</v>
      </c>
      <c r="E45" t="s">
        <v>8</v>
      </c>
      <c r="F45" s="24">
        <v>0.4</v>
      </c>
    </row>
    <row r="46" spans="1:8" x14ac:dyDescent="0.25">
      <c r="A46" t="str">
        <f t="shared" si="0"/>
        <v>2020Non-CommercialNon-CommercialNo</v>
      </c>
      <c r="B46">
        <v>2020</v>
      </c>
      <c r="C46" t="s">
        <v>6</v>
      </c>
      <c r="D46" t="s">
        <v>6</v>
      </c>
      <c r="E46" t="s">
        <v>8</v>
      </c>
      <c r="F46" s="25">
        <v>0.25</v>
      </c>
    </row>
    <row r="47" spans="1:8" x14ac:dyDescent="0.25">
      <c r="F47" s="3"/>
    </row>
    <row r="48" spans="1:8" ht="47.25" x14ac:dyDescent="0.25">
      <c r="F48" s="3"/>
      <c r="H48" s="27" t="s">
        <v>49</v>
      </c>
    </row>
    <row r="49" spans="6:8" ht="94.5" x14ac:dyDescent="0.25">
      <c r="F49" s="3"/>
      <c r="H49" s="27" t="s">
        <v>50</v>
      </c>
    </row>
    <row r="50" spans="6:8" ht="63" x14ac:dyDescent="0.25">
      <c r="F50" s="3"/>
      <c r="H50" s="27" t="s">
        <v>51</v>
      </c>
    </row>
    <row r="51" spans="6:8" x14ac:dyDescent="0.25">
      <c r="F51" s="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Abbreviated CT Return</vt:lpstr>
      <vt:lpstr>Loss Schedules</vt:lpstr>
      <vt:lpstr>MCT Schedule</vt:lpstr>
      <vt:lpstr>Rate Sheet</vt:lpstr>
      <vt:lpstr>RateRange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Marcia Searwar</cp:lastModifiedBy>
  <dcterms:created xsi:type="dcterms:W3CDTF">2020-07-21T00:05:11Z</dcterms:created>
  <dcterms:modified xsi:type="dcterms:W3CDTF">2020-10-20T19:19:59Z</dcterms:modified>
</cp:coreProperties>
</file>